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firstSheet="1" activeTab="1"/>
  </bookViews>
  <sheets>
    <sheet name="300 CB - N20302" sheetId="1" r:id="rId1"/>
    <sheet name="PA28-180" sheetId="2" r:id="rId2"/>
  </sheets>
  <definedNames>
    <definedName name="_xlnm.Print_Area" localSheetId="0">'300 CB - N20302'!$B$1:$M$33</definedName>
    <definedName name="_xlnm.Print_Area" localSheetId="1">'PA28-180'!$B$1:$M$34</definedName>
  </definedNames>
  <calcPr fullCalcOnLoad="1"/>
</workbook>
</file>

<file path=xl/sharedStrings.xml><?xml version="1.0" encoding="utf-8"?>
<sst xmlns="http://schemas.openxmlformats.org/spreadsheetml/2006/main" count="57" uniqueCount="41">
  <si>
    <t>Basic Empty Weight</t>
  </si>
  <si>
    <t>Glove Box</t>
  </si>
  <si>
    <t>Total (w/ Zero Fuel)</t>
  </si>
  <si>
    <t>Fuel Tank</t>
  </si>
  <si>
    <t>Total (w/  Fuel)</t>
  </si>
  <si>
    <t xml:space="preserve">Weight </t>
  </si>
  <si>
    <t>Arm</t>
  </si>
  <si>
    <t>Moment</t>
  </si>
  <si>
    <t>Longitudinal</t>
  </si>
  <si>
    <t>Lateral</t>
  </si>
  <si>
    <t>Right Seat</t>
  </si>
  <si>
    <t>Left Seat</t>
  </si>
  <si>
    <t>Maximum Gross Weight</t>
  </si>
  <si>
    <t>Lbs</t>
  </si>
  <si>
    <t>Maximum Inside Cabin</t>
  </si>
  <si>
    <t>Maximum In Compartment</t>
  </si>
  <si>
    <t>Right Seat &amp; Bags</t>
  </si>
  <si>
    <t>Left Seat &amp; Bags</t>
  </si>
  <si>
    <t>Amount of Fuel</t>
  </si>
  <si>
    <t>Gallons</t>
  </si>
  <si>
    <t>SCHWEIZER 300 WEIGHT AND BALANCE FORM</t>
  </si>
  <si>
    <t>APPLICANT:</t>
  </si>
  <si>
    <t>N 20302</t>
  </si>
  <si>
    <t>Fuel Capacity = 35.2 Gallons</t>
  </si>
  <si>
    <t>Front Seat &amp; Bags</t>
  </si>
  <si>
    <t>Back Seat &amp; Bags</t>
  </si>
  <si>
    <t>Baggage Area(200 Lb Max)</t>
  </si>
  <si>
    <t>Minus Fuel Burned (Gal)</t>
  </si>
  <si>
    <t>Landing Weight &amp; Balance</t>
  </si>
  <si>
    <t>Total (Zero Fuel)</t>
  </si>
  <si>
    <t>Fuel Burned (Lbs)</t>
  </si>
  <si>
    <t>Remaining Fuel (Lbs)</t>
  </si>
  <si>
    <t>Starting Fuel Amount (Gal)</t>
  </si>
  <si>
    <t>Basic empty weight includes full oil and unusable fuel.</t>
  </si>
  <si>
    <t>Takeoff Maximum Gross Weight:</t>
  </si>
  <si>
    <t>Maximum In Baggage Compartment:</t>
  </si>
  <si>
    <t xml:space="preserve">Max Usable Fuel: 6 Lbs/ Gal, Filled to tabs = 36 Gal, Full = 45.8. </t>
  </si>
  <si>
    <t>Fuel</t>
  </si>
  <si>
    <t>Takeoff Weight and Balance</t>
  </si>
  <si>
    <t>N4624J - Piper Arrow, PA-28R-180 Weight &amp; Balance Worksheet</t>
  </si>
  <si>
    <t xml:space="preserve">             Weight and Balance Computation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</si>
</sst>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17">
    <font>
      <sz val="10"/>
      <name val="Arial"/>
      <family val="0"/>
    </font>
    <font>
      <b/>
      <u val="single"/>
      <sz val="16"/>
      <color indexed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MS Sans Serif"/>
      <family val="2"/>
    </font>
    <font>
      <b/>
      <sz val="12"/>
      <name val="MS Sans Serif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8.5"/>
      <name val="MS Sans Serif"/>
      <family val="2"/>
    </font>
    <font>
      <b/>
      <sz val="10"/>
      <color indexed="10"/>
      <name val="Arial"/>
      <family val="2"/>
    </font>
    <font>
      <b/>
      <i/>
      <sz val="10"/>
      <color indexed="57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4" xfId="0" applyFill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" borderId="10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0" fontId="0" fillId="3" borderId="27" xfId="0" applyFill="1" applyBorder="1" applyAlignment="1" applyProtection="1">
      <alignment/>
      <protection locked="0"/>
    </xf>
    <xf numFmtId="0" fontId="12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28" xfId="0" applyFont="1" applyFill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8" xfId="0" applyFont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3" borderId="40" xfId="0" applyNumberFormat="1" applyFill="1" applyBorder="1" applyAlignment="1" applyProtection="1">
      <alignment/>
      <protection locked="0"/>
    </xf>
    <xf numFmtId="164" fontId="0" fillId="3" borderId="27" xfId="0" applyNumberFormat="1" applyFill="1" applyBorder="1" applyAlignment="1" applyProtection="1">
      <alignment/>
      <protection locked="0"/>
    </xf>
    <xf numFmtId="164" fontId="0" fillId="0" borderId="27" xfId="0" applyNumberFormat="1" applyFill="1" applyBorder="1" applyAlignment="1" applyProtection="1">
      <alignment/>
      <protection/>
    </xf>
    <xf numFmtId="164" fontId="0" fillId="0" borderId="39" xfId="0" applyNumberFormat="1" applyFill="1" applyBorder="1" applyAlignment="1" applyProtection="1">
      <alignment/>
      <protection/>
    </xf>
    <xf numFmtId="164" fontId="0" fillId="0" borderId="41" xfId="0" applyNumberFormat="1" applyBorder="1" applyAlignment="1">
      <alignment/>
    </xf>
    <xf numFmtId="0" fontId="13" fillId="0" borderId="42" xfId="0" applyFont="1" applyBorder="1" applyAlignment="1">
      <alignment/>
    </xf>
    <xf numFmtId="0" fontId="16" fillId="0" borderId="43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12" fillId="2" borderId="27" xfId="0" applyNumberFormat="1" applyFont="1" applyFill="1" applyBorder="1" applyAlignment="1">
      <alignment/>
    </xf>
    <xf numFmtId="164" fontId="12" fillId="2" borderId="3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2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27" xfId="0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88"/>
          <c:w val="0.970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 - N20302'!$H$13:$H$18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'300 CB - N20302'!$I$13:$I$18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 - N20302'!$H$12:$H$13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'300 CB - N20302'!$I$12:$I$13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Zero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 - N20302'!$D$26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'300 CB - N20302'!$D$14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With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 - N20302'!$D$28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'300 CB - N20302'!$D$16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Progress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'300 CB - N20302'!$H$21:$H$22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'300 CB - N20302'!$I$21:$I$22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8200237"/>
        <c:axId val="29584406"/>
      </c:scatterChart>
      <c:valAx>
        <c:axId val="18200237"/>
        <c:scaling>
          <c:orientation val="minMax"/>
          <c:max val="5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Lateral Station Inches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8100">
            <a:solidFill/>
          </a:ln>
        </c:spPr>
        <c:crossAx val="29584406"/>
        <c:crossesAt val="102"/>
        <c:crossBetween val="midCat"/>
        <c:dispUnits/>
        <c:majorUnit val="1"/>
        <c:minorUnit val="0.5"/>
      </c:valAx>
      <c:valAx>
        <c:axId val="29584406"/>
        <c:scaling>
          <c:orientation val="maxMin"/>
          <c:max val="10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Longitudinal Station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38100">
            <a:solidFill/>
          </a:ln>
        </c:spPr>
        <c:crossAx val="18200237"/>
        <c:crossesAt val="-4"/>
        <c:crossBetween val="midCat"/>
        <c:dispUnits/>
        <c:majorUnit val="1"/>
        <c:minorUnit val="1"/>
      </c:valAx>
      <c:spPr>
        <a:noFill/>
        <a:ln w="381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      Center of Gravity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725"/>
          <c:w val="0.946"/>
          <c:h val="0.801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'PA28-180'!$H$13:$H$18</c:f>
              <c:numCache/>
            </c:numRef>
          </c:xVal>
          <c:yVal>
            <c:numRef>
              <c:f>'PA28-180'!$I$13:$I$18</c:f>
              <c:numCache/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'PA28-180'!$H$12:$H$13</c:f>
              <c:numCache/>
            </c:numRef>
          </c:xVal>
          <c:yVal>
            <c:numRef>
              <c:f>'PA28-180'!$I$12:$I$13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'PA28-180'!$I$21</c:f>
              <c:numCache/>
            </c:numRef>
          </c:xVal>
          <c:yVal>
            <c:numRef>
              <c:f>'PA28-180'!$H$21</c:f>
              <c:numCache/>
            </c:numRef>
          </c:yVal>
          <c:smooth val="0"/>
        </c:ser>
        <c:ser>
          <c:idx val="3"/>
          <c:order val="3"/>
          <c:tx>
            <c:v>With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'PA28-180'!$I$22</c:f>
              <c:numCache/>
            </c:numRef>
          </c:xVal>
          <c:yVal>
            <c:numRef>
              <c:f>'PA28-180'!$H$22</c:f>
              <c:numCache/>
            </c:numRef>
          </c:yVal>
          <c:smooth val="0"/>
        </c:ser>
        <c:ser>
          <c:idx val="4"/>
          <c:order val="4"/>
          <c:tx>
            <c:v>Progress 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'PA28-180'!$I$21:$I$23</c:f>
              <c:numCache/>
            </c:numRef>
          </c:xVal>
          <c:yVal>
            <c:numRef>
              <c:f>'PA28-180'!$H$21:$H$23</c:f>
              <c:numCache/>
            </c:numRef>
          </c:yVal>
          <c:smooth val="0"/>
        </c:ser>
        <c:ser>
          <c:idx val="6"/>
          <c:order val="5"/>
          <c:tx>
            <c:v>Fuel Burned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trendlineType val="linear"/>
            <c:dispEq val="0"/>
            <c:dispRSqr val="0"/>
          </c:trendline>
          <c:trendline>
            <c:trendlineType val="linear"/>
            <c:dispEq val="0"/>
            <c:dispRSqr val="0"/>
          </c:trendline>
          <c:trendline>
            <c:trendlineType val="linear"/>
            <c:dispEq val="0"/>
            <c:dispRSqr val="0"/>
          </c:trendline>
          <c:xVal>
            <c:numRef>
              <c:f>'PA28-180'!$I$23</c:f>
              <c:numCache/>
            </c:numRef>
          </c:xVal>
          <c:yVal>
            <c:numRef>
              <c:f>'PA28-180'!$H$23</c:f>
              <c:numCache/>
            </c:numRef>
          </c:yVal>
          <c:smooth val="0"/>
        </c:ser>
        <c:axId val="64933063"/>
        <c:axId val="47526656"/>
      </c:scatterChart>
      <c:valAx>
        <c:axId val="64933063"/>
        <c:scaling>
          <c:orientation val="minMax"/>
          <c:max val="96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Inches Longitude (ARM)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8100">
            <a:solidFill/>
          </a:ln>
        </c:spPr>
        <c:crossAx val="47526656"/>
        <c:crossesAt val="1400"/>
        <c:crossBetween val="midCat"/>
        <c:dispUnits/>
        <c:majorUnit val="2"/>
        <c:minorUnit val="1"/>
      </c:valAx>
      <c:valAx>
        <c:axId val="47526656"/>
        <c:scaling>
          <c:orientation val="minMax"/>
          <c:max val="26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38100">
            <a:solidFill/>
          </a:ln>
        </c:spPr>
        <c:crossAx val="64933063"/>
        <c:crosses val="autoZero"/>
        <c:crossBetween val="midCat"/>
        <c:dispUnits/>
        <c:majorUnit val="200"/>
        <c:minorUnit val="50"/>
      </c:valAx>
      <c:spPr>
        <a:noFill/>
        <a:ln w="38100">
          <a:solid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19050</xdr:rowOff>
    </xdr:from>
    <xdr:to>
      <xdr:col>12</xdr:col>
      <xdr:colOff>523875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133850" y="1276350"/>
        <a:ext cx="4552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28575</xdr:rowOff>
    </xdr:from>
    <xdr:to>
      <xdr:col>13</xdr:col>
      <xdr:colOff>161925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4095750" y="323850"/>
        <a:ext cx="5010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M32"/>
  <sheetViews>
    <sheetView workbookViewId="0" topLeftCell="A1">
      <selection activeCell="G4" sqref="G4:I4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9.57421875" style="0" customWidth="1"/>
    <col min="4" max="4" width="10.57421875" style="0" customWidth="1"/>
    <col min="5" max="5" width="11.7109375" style="0" customWidth="1"/>
  </cols>
  <sheetData>
    <row r="1" spans="2:13" ht="23.25">
      <c r="B1" s="88" t="s">
        <v>20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5:8" ht="15.75">
      <c r="E2" s="89" t="s">
        <v>22</v>
      </c>
      <c r="F2" s="87"/>
      <c r="G2" s="87"/>
      <c r="H2" s="87"/>
    </row>
    <row r="3" spans="5:8" ht="15.75">
      <c r="E3" s="44"/>
      <c r="F3" s="43"/>
      <c r="G3" s="43"/>
      <c r="H3" s="43"/>
    </row>
    <row r="4" spans="2:9" ht="15.75" customHeight="1">
      <c r="B4" s="1"/>
      <c r="D4" s="45"/>
      <c r="E4" s="89" t="s">
        <v>21</v>
      </c>
      <c r="F4" s="89"/>
      <c r="G4" s="90"/>
      <c r="H4" s="90"/>
      <c r="I4" s="90"/>
    </row>
    <row r="5" ht="14.25" customHeight="1" thickBot="1">
      <c r="B5" s="1"/>
    </row>
    <row r="6" spans="2:11" ht="14.25" customHeight="1" thickBot="1" thickTop="1">
      <c r="B6" s="41" t="s">
        <v>18</v>
      </c>
      <c r="C6" s="47">
        <v>20</v>
      </c>
      <c r="D6" s="42" t="s">
        <v>19</v>
      </c>
      <c r="H6" s="87" t="s">
        <v>23</v>
      </c>
      <c r="I6" s="87"/>
      <c r="J6" s="87"/>
      <c r="K6" s="87"/>
    </row>
    <row r="7" ht="14.25" thickBot="1" thickTop="1"/>
    <row r="8" spans="2:5" ht="16.5" thickTop="1">
      <c r="B8" s="2"/>
      <c r="C8" s="3" t="s">
        <v>8</v>
      </c>
      <c r="D8" s="4"/>
      <c r="E8" s="5"/>
    </row>
    <row r="9" spans="2:5" ht="13.5" thickBot="1">
      <c r="B9" s="10"/>
      <c r="C9" s="11" t="s">
        <v>5</v>
      </c>
      <c r="D9" s="11" t="s">
        <v>6</v>
      </c>
      <c r="E9" s="12" t="s">
        <v>7</v>
      </c>
    </row>
    <row r="10" spans="2:5" ht="13.5" thickBot="1">
      <c r="B10" s="13" t="s">
        <v>0</v>
      </c>
      <c r="C10" s="25">
        <v>1120.5</v>
      </c>
      <c r="D10" s="25">
        <v>100</v>
      </c>
      <c r="E10" s="26">
        <f>C10*D10</f>
        <v>112050</v>
      </c>
    </row>
    <row r="11" spans="2:5" ht="13.5" thickBot="1">
      <c r="B11" s="13" t="s">
        <v>16</v>
      </c>
      <c r="C11" s="46">
        <v>195</v>
      </c>
      <c r="D11" s="25">
        <v>83.2</v>
      </c>
      <c r="E11" s="26">
        <f>C11*D11</f>
        <v>16224</v>
      </c>
    </row>
    <row r="12" spans="2:9" ht="13.5" thickBot="1">
      <c r="B12" s="13" t="s">
        <v>17</v>
      </c>
      <c r="C12" s="46">
        <v>220</v>
      </c>
      <c r="D12" s="14">
        <v>83.2</v>
      </c>
      <c r="E12" s="15">
        <f>C12*D12</f>
        <v>18304</v>
      </c>
      <c r="H12" s="30">
        <v>2</v>
      </c>
      <c r="I12" s="30">
        <v>101</v>
      </c>
    </row>
    <row r="13" spans="2:9" ht="13.5" thickBot="1">
      <c r="B13" s="13" t="s">
        <v>1</v>
      </c>
      <c r="C13" s="46">
        <v>0</v>
      </c>
      <c r="D13" s="14">
        <v>50.3</v>
      </c>
      <c r="E13" s="15">
        <f>C13*D13</f>
        <v>0</v>
      </c>
      <c r="H13" s="30">
        <v>-2.5</v>
      </c>
      <c r="I13" s="30">
        <v>101</v>
      </c>
    </row>
    <row r="14" spans="2:9" ht="13.5" thickBot="1">
      <c r="B14" s="13" t="s">
        <v>2</v>
      </c>
      <c r="C14" s="14">
        <f>SUM(C10:C13)</f>
        <v>1535.5</v>
      </c>
      <c r="D14" s="27">
        <f>E14/C14</f>
        <v>95.45945945945945</v>
      </c>
      <c r="E14" s="15">
        <f>SUM(E10:E13)</f>
        <v>146578</v>
      </c>
      <c r="H14" s="30">
        <v>-2.5</v>
      </c>
      <c r="I14" s="30">
        <v>97.5</v>
      </c>
    </row>
    <row r="15" spans="2:9" ht="13.5" thickBot="1">
      <c r="B15" s="13" t="s">
        <v>3</v>
      </c>
      <c r="C15" s="25">
        <f>C6*6</f>
        <v>120</v>
      </c>
      <c r="D15" s="14">
        <v>108.5</v>
      </c>
      <c r="E15" s="15">
        <f>C15*D15</f>
        <v>13020</v>
      </c>
      <c r="H15" s="30">
        <v>-1</v>
      </c>
      <c r="I15" s="30">
        <v>95</v>
      </c>
    </row>
    <row r="16" spans="2:9" ht="13.5" thickBot="1">
      <c r="B16" s="16" t="s">
        <v>4</v>
      </c>
      <c r="C16" s="17">
        <f>SUM(C10:C13)+C15</f>
        <v>1655.5</v>
      </c>
      <c r="D16" s="28">
        <f>E16/C16</f>
        <v>96.40471156750226</v>
      </c>
      <c r="E16" s="18">
        <f>SUM(E10:E13)+E15</f>
        <v>159598</v>
      </c>
      <c r="H16" s="30">
        <v>3</v>
      </c>
      <c r="I16" s="30">
        <v>95</v>
      </c>
    </row>
    <row r="17" spans="2:9" ht="12.75">
      <c r="B17" s="22"/>
      <c r="C17" s="23"/>
      <c r="D17" s="23"/>
      <c r="E17" s="24"/>
      <c r="H17" s="30">
        <v>4</v>
      </c>
      <c r="I17" s="30">
        <v>99.5</v>
      </c>
    </row>
    <row r="18" spans="2:9" ht="12.75">
      <c r="B18" s="40" t="str">
        <f>IF(C16&gt;C30,"Takeoff Weight Too High!!!!","Takeoff Weight OK")</f>
        <v>Takeoff Weight OK</v>
      </c>
      <c r="C18" s="7"/>
      <c r="D18" s="7"/>
      <c r="E18" s="8"/>
      <c r="H18" s="30">
        <v>2</v>
      </c>
      <c r="I18" s="30">
        <v>101</v>
      </c>
    </row>
    <row r="19" spans="2:9" ht="12.75">
      <c r="B19" s="6"/>
      <c r="C19" s="7"/>
      <c r="D19" s="7"/>
      <c r="E19" s="8"/>
      <c r="H19" s="30">
        <v>-2.5</v>
      </c>
      <c r="I19" s="30">
        <v>101</v>
      </c>
    </row>
    <row r="20" spans="2:9" ht="15.75">
      <c r="B20" s="6"/>
      <c r="C20" s="9" t="s">
        <v>9</v>
      </c>
      <c r="D20" s="7"/>
      <c r="E20" s="8"/>
      <c r="H20" s="30"/>
      <c r="I20" s="30"/>
    </row>
    <row r="21" spans="2:9" ht="13.5" thickBot="1">
      <c r="B21" s="10"/>
      <c r="C21" s="11" t="s">
        <v>5</v>
      </c>
      <c r="D21" s="11" t="s">
        <v>6</v>
      </c>
      <c r="E21" s="12" t="s">
        <v>7</v>
      </c>
      <c r="H21" s="30">
        <f>D26</f>
        <v>-0.11816346466948881</v>
      </c>
      <c r="I21" s="30">
        <f>D14</f>
        <v>95.45945945945945</v>
      </c>
    </row>
    <row r="22" spans="2:9" ht="13.5" thickBot="1">
      <c r="B22" s="13" t="s">
        <v>0</v>
      </c>
      <c r="C22" s="25">
        <f>C10</f>
        <v>1120.5</v>
      </c>
      <c r="D22" s="14">
        <v>0.32</v>
      </c>
      <c r="E22" s="15">
        <f>C22*D22</f>
        <v>358.56</v>
      </c>
      <c r="H22" s="30">
        <f>D28</f>
        <v>-1.3128601630927215</v>
      </c>
      <c r="I22" s="30">
        <f>D16</f>
        <v>96.40471156750226</v>
      </c>
    </row>
    <row r="23" spans="2:5" ht="13.5" thickBot="1">
      <c r="B23" s="13" t="s">
        <v>10</v>
      </c>
      <c r="C23" s="25">
        <f>C11</f>
        <v>195</v>
      </c>
      <c r="D23" s="14">
        <v>12.8</v>
      </c>
      <c r="E23" s="15">
        <f>C23*D23</f>
        <v>2496</v>
      </c>
    </row>
    <row r="24" spans="2:5" ht="13.5" thickBot="1">
      <c r="B24" s="13" t="s">
        <v>11</v>
      </c>
      <c r="C24" s="25">
        <f>C12</f>
        <v>220</v>
      </c>
      <c r="D24" s="14">
        <v>-13.8</v>
      </c>
      <c r="E24" s="15">
        <f>C24*D24</f>
        <v>-3036</v>
      </c>
    </row>
    <row r="25" spans="2:5" ht="13.5" thickBot="1">
      <c r="B25" s="13" t="s">
        <v>1</v>
      </c>
      <c r="C25" s="25">
        <f>C13</f>
        <v>0</v>
      </c>
      <c r="D25" s="14">
        <v>0</v>
      </c>
      <c r="E25" s="15">
        <f>C25*D25</f>
        <v>0</v>
      </c>
    </row>
    <row r="26" spans="2:5" ht="13.5" thickBot="1">
      <c r="B26" s="13" t="s">
        <v>2</v>
      </c>
      <c r="C26" s="14">
        <f>SUM(C22:C25)</f>
        <v>1535.5</v>
      </c>
      <c r="D26" s="27">
        <f>E26/C26</f>
        <v>-0.11816346466948881</v>
      </c>
      <c r="E26" s="15">
        <f>SUM(E22:E25)</f>
        <v>-181.44000000000005</v>
      </c>
    </row>
    <row r="27" spans="2:5" ht="13.5" thickBot="1">
      <c r="B27" s="13" t="s">
        <v>3</v>
      </c>
      <c r="C27" s="14">
        <f>C15</f>
        <v>120</v>
      </c>
      <c r="D27" s="14">
        <v>-16.6</v>
      </c>
      <c r="E27" s="15">
        <f>C27*D27</f>
        <v>-1992.0000000000002</v>
      </c>
    </row>
    <row r="28" spans="2:5" ht="13.5" thickBot="1">
      <c r="B28" s="19" t="s">
        <v>4</v>
      </c>
      <c r="C28" s="20">
        <f>SUM(C22:C25)+C27</f>
        <v>1655.5</v>
      </c>
      <c r="D28" s="29">
        <f>E28/C28</f>
        <v>-1.3128601630927215</v>
      </c>
      <c r="E28" s="21">
        <f>SUM(E22:E25)+E27</f>
        <v>-2173.4400000000005</v>
      </c>
    </row>
    <row r="29" ht="14.25" thickBot="1" thickTop="1"/>
    <row r="30" spans="2:4" ht="13.5" thickTop="1">
      <c r="B30" s="31" t="s">
        <v>12</v>
      </c>
      <c r="C30" s="32">
        <v>1750</v>
      </c>
      <c r="D30" s="33" t="s">
        <v>13</v>
      </c>
    </row>
    <row r="31" spans="2:4" ht="12.75">
      <c r="B31" s="34" t="s">
        <v>14</v>
      </c>
      <c r="C31" s="35">
        <v>600</v>
      </c>
      <c r="D31" s="36" t="s">
        <v>13</v>
      </c>
    </row>
    <row r="32" spans="2:4" ht="13.5" thickBot="1">
      <c r="B32" s="37" t="s">
        <v>15</v>
      </c>
      <c r="C32" s="38">
        <v>20</v>
      </c>
      <c r="D32" s="39" t="s">
        <v>13</v>
      </c>
    </row>
    <row r="33" ht="13.5" thickTop="1"/>
  </sheetData>
  <sheetProtection/>
  <mergeCells count="5">
    <mergeCell ref="H6:K6"/>
    <mergeCell ref="B1:M1"/>
    <mergeCell ref="E2:H2"/>
    <mergeCell ref="E4:F4"/>
    <mergeCell ref="G4:I4"/>
  </mergeCells>
  <printOptions horizontalCentered="1" verticalCentered="1"/>
  <pageMargins left="0.24" right="0.5" top="1" bottom="1" header="0.5" footer="0.5"/>
  <pageSetup horizontalDpi="300" verticalDpi="300" orientation="landscape" r:id="rId2"/>
  <ignoredErrors>
    <ignoredError sqref="E14 E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31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9.57421875" style="0" customWidth="1"/>
    <col min="4" max="4" width="10.57421875" style="0" customWidth="1"/>
    <col min="5" max="5" width="11.7109375" style="0" customWidth="1"/>
  </cols>
  <sheetData>
    <row r="1" spans="2:13" ht="23.25">
      <c r="B1" s="88" t="s">
        <v>39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5:8" ht="15.75">
      <c r="E2" s="89"/>
      <c r="F2" s="87"/>
      <c r="G2" s="87"/>
      <c r="H2" s="87"/>
    </row>
    <row r="3" spans="2:8" ht="15.75">
      <c r="B3" s="96" t="s">
        <v>40</v>
      </c>
      <c r="E3" s="44"/>
      <c r="F3" s="43"/>
      <c r="G3" s="43"/>
      <c r="H3" s="43"/>
    </row>
    <row r="4" spans="2:9" ht="15.75" customHeight="1">
      <c r="B4" s="1"/>
      <c r="D4" s="45"/>
      <c r="E4" s="89"/>
      <c r="F4" s="89"/>
      <c r="G4" s="90"/>
      <c r="H4" s="90"/>
      <c r="I4" s="90"/>
    </row>
    <row r="5" spans="2:5" ht="14.25" customHeight="1">
      <c r="B5" s="82"/>
      <c r="C5" s="94"/>
      <c r="D5" s="95"/>
      <c r="E5" s="95"/>
    </row>
    <row r="6" spans="2:5" ht="14.25" customHeight="1">
      <c r="B6" s="83" t="s">
        <v>32</v>
      </c>
      <c r="C6" s="77">
        <v>36</v>
      </c>
      <c r="D6" s="35"/>
      <c r="E6" s="55"/>
    </row>
    <row r="7" spans="2:5" ht="12.75">
      <c r="B7" s="54">
        <f>IF(C6&gt;45.8,"Warning..check fuel entry","")</f>
      </c>
      <c r="C7" s="35"/>
      <c r="D7" s="35"/>
      <c r="E7" s="55"/>
    </row>
    <row r="8" spans="2:5" ht="15.75" customHeight="1">
      <c r="B8" s="91"/>
      <c r="C8" s="92"/>
      <c r="D8" s="92"/>
      <c r="E8" s="93"/>
    </row>
    <row r="9" spans="2:5" ht="12.75">
      <c r="B9" s="56"/>
      <c r="C9" s="97" t="s">
        <v>5</v>
      </c>
      <c r="D9" s="97" t="s">
        <v>6</v>
      </c>
      <c r="E9" s="98" t="s">
        <v>7</v>
      </c>
    </row>
    <row r="10" spans="2:5" ht="12.75">
      <c r="B10" s="56" t="s">
        <v>0</v>
      </c>
      <c r="C10" s="51">
        <v>1503.6</v>
      </c>
      <c r="D10" s="79">
        <v>84.2</v>
      </c>
      <c r="E10" s="80">
        <v>126599.7</v>
      </c>
    </row>
    <row r="11" spans="2:5" ht="12.75">
      <c r="B11" s="56" t="s">
        <v>24</v>
      </c>
      <c r="C11" s="78">
        <v>440</v>
      </c>
      <c r="D11" s="79">
        <v>85.5</v>
      </c>
      <c r="E11" s="80">
        <f>C11*D11</f>
        <v>37620</v>
      </c>
    </row>
    <row r="12" spans="2:9" ht="12.75">
      <c r="B12" s="56" t="s">
        <v>25</v>
      </c>
      <c r="C12" s="78">
        <v>0</v>
      </c>
      <c r="D12" s="75">
        <v>118.1</v>
      </c>
      <c r="E12" s="73">
        <f>C12*D12</f>
        <v>0</v>
      </c>
      <c r="H12" s="30">
        <v>81</v>
      </c>
      <c r="I12" s="30">
        <v>1400</v>
      </c>
    </row>
    <row r="13" spans="2:9" ht="12.75">
      <c r="B13" s="56" t="s">
        <v>26</v>
      </c>
      <c r="C13" s="78">
        <v>0</v>
      </c>
      <c r="D13" s="75">
        <v>142.8</v>
      </c>
      <c r="E13" s="73">
        <f>C13*D13</f>
        <v>0</v>
      </c>
      <c r="H13" s="30">
        <v>81</v>
      </c>
      <c r="I13" s="30">
        <v>1940</v>
      </c>
    </row>
    <row r="14" spans="2:9" ht="12.75">
      <c r="B14" s="56" t="s">
        <v>29</v>
      </c>
      <c r="C14" s="50">
        <f>SUM(C10:C13)</f>
        <v>1943.6</v>
      </c>
      <c r="D14" s="85">
        <f>E14/C14</f>
        <v>84.4925396172052</v>
      </c>
      <c r="E14" s="73">
        <f>SUM(E10:E13)</f>
        <v>164219.7</v>
      </c>
      <c r="H14" s="30">
        <v>91</v>
      </c>
      <c r="I14" s="30">
        <v>2500</v>
      </c>
    </row>
    <row r="15" spans="2:9" ht="12.75">
      <c r="B15" s="56" t="s">
        <v>37</v>
      </c>
      <c r="C15" s="79">
        <f>C6*6</f>
        <v>216</v>
      </c>
      <c r="D15" s="75">
        <v>95</v>
      </c>
      <c r="E15" s="73">
        <f>C15*D15</f>
        <v>20520</v>
      </c>
      <c r="H15" s="30">
        <v>96</v>
      </c>
      <c r="I15" s="30">
        <v>2500</v>
      </c>
    </row>
    <row r="16" spans="2:9" ht="12.75">
      <c r="B16" s="56" t="s">
        <v>38</v>
      </c>
      <c r="C16" s="52">
        <f>C15+C14</f>
        <v>2159.6</v>
      </c>
      <c r="D16" s="85">
        <f>E16/C16</f>
        <v>85.54348027412485</v>
      </c>
      <c r="E16" s="73">
        <f>SUM(E10:E13)+E15</f>
        <v>184739.7</v>
      </c>
      <c r="H16" s="30">
        <v>96</v>
      </c>
      <c r="I16" s="30">
        <v>1400</v>
      </c>
    </row>
    <row r="17" spans="2:9" ht="12.75">
      <c r="B17" s="56"/>
      <c r="C17" s="50"/>
      <c r="D17" s="75"/>
      <c r="E17" s="73"/>
      <c r="H17" s="30">
        <v>81</v>
      </c>
      <c r="I17" s="30">
        <v>1400</v>
      </c>
    </row>
    <row r="18" spans="2:9" ht="12.75">
      <c r="B18" s="56" t="s">
        <v>27</v>
      </c>
      <c r="C18" s="78">
        <v>12</v>
      </c>
      <c r="D18" s="76"/>
      <c r="E18" s="74"/>
      <c r="H18" s="30"/>
      <c r="I18" s="30"/>
    </row>
    <row r="19" spans="2:9" ht="12.75">
      <c r="B19" s="56" t="s">
        <v>30</v>
      </c>
      <c r="C19" s="75">
        <f>C18*6</f>
        <v>72</v>
      </c>
      <c r="D19" s="75">
        <v>95</v>
      </c>
      <c r="E19" s="73">
        <f>E15</f>
        <v>20520</v>
      </c>
      <c r="H19" s="30"/>
      <c r="I19" s="30"/>
    </row>
    <row r="20" spans="2:9" ht="12.75">
      <c r="B20" s="57" t="s">
        <v>31</v>
      </c>
      <c r="C20" s="76">
        <f>(C6-C18)*6</f>
        <v>144</v>
      </c>
      <c r="D20" s="76">
        <v>95</v>
      </c>
      <c r="E20" s="74">
        <f>C20*D20</f>
        <v>13680</v>
      </c>
      <c r="H20" s="30"/>
      <c r="I20" s="30"/>
    </row>
    <row r="21" spans="2:9" ht="12.75">
      <c r="B21" s="57"/>
      <c r="C21" s="53"/>
      <c r="D21" s="76"/>
      <c r="E21" s="74"/>
      <c r="H21" s="30">
        <f>C14</f>
        <v>1943.6</v>
      </c>
      <c r="I21" s="30">
        <f>D14</f>
        <v>84.4925396172052</v>
      </c>
    </row>
    <row r="22" spans="2:9" ht="12.75">
      <c r="B22" s="57"/>
      <c r="C22" s="53"/>
      <c r="D22" s="76"/>
      <c r="E22" s="74"/>
      <c r="H22" s="30">
        <f>C16</f>
        <v>2159.6</v>
      </c>
      <c r="I22" s="30">
        <f>D16</f>
        <v>85.54348027412485</v>
      </c>
    </row>
    <row r="23" spans="1:9" ht="12.75">
      <c r="A23" s="35"/>
      <c r="B23" s="58" t="s">
        <v>28</v>
      </c>
      <c r="C23" s="65">
        <f>C14+C20</f>
        <v>2087.6</v>
      </c>
      <c r="D23" s="86">
        <f>E23/C23</f>
        <v>85.2173309063039</v>
      </c>
      <c r="E23" s="81">
        <f>E20+E14</f>
        <v>177899.7</v>
      </c>
      <c r="H23">
        <f>C23</f>
        <v>2087.6</v>
      </c>
      <c r="I23">
        <f>D23</f>
        <v>85.2173309063039</v>
      </c>
    </row>
    <row r="24" spans="1:5" ht="12.75">
      <c r="A24" s="35"/>
      <c r="B24" s="67"/>
      <c r="C24" s="66"/>
      <c r="D24" s="66"/>
      <c r="E24" s="68"/>
    </row>
    <row r="25" spans="1:5" ht="12.75">
      <c r="A25" s="35"/>
      <c r="B25" s="59" t="str">
        <f>IF(C16&lt;D28,"Takeoff Weight OK, Check if CG in limits on Chart","")</f>
        <v>Takeoff Weight OK, Check if CG in limits on Chart</v>
      </c>
      <c r="C25" s="49"/>
      <c r="D25" s="35"/>
      <c r="E25" s="55"/>
    </row>
    <row r="26" spans="1:5" ht="12.75">
      <c r="A26" s="35"/>
      <c r="B26" s="69">
        <f>IF(C16&gt;D28,"Takeoff Weight Too High",IF(C13&gt;D29,"Warning!!! Too Much Baggage",""))</f>
      </c>
      <c r="C26" s="70"/>
      <c r="D26" s="70"/>
      <c r="E26" s="71"/>
    </row>
    <row r="27" spans="2:5" ht="12.75">
      <c r="B27" s="72">
        <f>IF(C18&lt;0,"'Fuel Burned'- must enter a 'Positive Number'","")</f>
      </c>
      <c r="C27" s="35"/>
      <c r="D27" s="35"/>
      <c r="E27" s="55"/>
    </row>
    <row r="28" spans="2:5" ht="12.75">
      <c r="B28" s="60" t="s">
        <v>34</v>
      </c>
      <c r="C28" s="48"/>
      <c r="D28" s="84">
        <v>2500</v>
      </c>
      <c r="E28" s="55" t="s">
        <v>13</v>
      </c>
    </row>
    <row r="29" spans="2:5" ht="12.75">
      <c r="B29" s="60" t="s">
        <v>35</v>
      </c>
      <c r="C29" s="48"/>
      <c r="D29" s="84">
        <v>200</v>
      </c>
      <c r="E29" s="55" t="s">
        <v>13</v>
      </c>
    </row>
    <row r="30" spans="2:5" ht="12.75">
      <c r="B30" s="60" t="s">
        <v>33</v>
      </c>
      <c r="C30" s="48"/>
      <c r="D30" s="48"/>
      <c r="E30" s="61"/>
    </row>
    <row r="31" spans="2:5" ht="13.5" thickBot="1">
      <c r="B31" s="62" t="s">
        <v>36</v>
      </c>
      <c r="C31" s="63"/>
      <c r="D31" s="63"/>
      <c r="E31" s="64"/>
    </row>
  </sheetData>
  <sheetProtection selectLockedCells="1"/>
  <mergeCells count="6">
    <mergeCell ref="B8:E8"/>
    <mergeCell ref="B1:M1"/>
    <mergeCell ref="E2:H2"/>
    <mergeCell ref="E4:F4"/>
    <mergeCell ref="G4:I4"/>
    <mergeCell ref="C5:E5"/>
  </mergeCells>
  <printOptions horizontalCentered="1" verticalCentered="1"/>
  <pageMargins left="0.24" right="0.25" top="0.5" bottom="0.5" header="0" footer="0"/>
  <pageSetup fitToHeight="1" fitToWidth="1" horizontalDpi="300" verticalDpi="300" orientation="landscape" r:id="rId2"/>
  <ignoredErrors>
    <ignoredError sqref="D14:E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Schweizer 300 CB weight and balance program</dc:title>
  <dc:subject/>
  <dc:creator> </dc:creator>
  <cp:keywords/>
  <dc:description/>
  <cp:lastModifiedBy>GateKeeper</cp:lastModifiedBy>
  <cp:lastPrinted>2007-11-02T23:10:01Z</cp:lastPrinted>
  <dcterms:created xsi:type="dcterms:W3CDTF">2003-03-28T22:37:51Z</dcterms:created>
  <dcterms:modified xsi:type="dcterms:W3CDTF">2007-11-02T23:40:45Z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-816866773</vt:i4>
  </property>
  <property fmtid="{D5CDD505-2E9C-101B-9397-08002B2CF9AE}" pid="3" name="_EmailSubject">
    <vt:lpwstr>Arrow W&amp;B</vt:lpwstr>
  </property>
  <property fmtid="{D5CDD505-2E9C-101B-9397-08002B2CF9AE}" pid="4" name="_AuthorEmail">
    <vt:lpwstr>raderm@frmaint.com</vt:lpwstr>
  </property>
  <property fmtid="{D5CDD505-2E9C-101B-9397-08002B2CF9AE}" pid="5" name="_AuthorEmailDisplayName">
    <vt:lpwstr>Rader, Mark</vt:lpwstr>
  </property>
  <property fmtid="{D5CDD505-2E9C-101B-9397-08002B2CF9AE}" pid="6" name="_PreviousAdHocReviewCycleID">
    <vt:i4>-1284408605</vt:i4>
  </property>
  <property fmtid="{D5CDD505-2E9C-101B-9397-08002B2CF9AE}" pid="7" name="_ReviewingToolsShownOnce">
    <vt:lpwstr/>
  </property>
</Properties>
</file>